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4" documentId="8_{FF0B87C4-0381-4841-9A34-F9F8618004B7}" xr6:coauthVersionLast="47" xr6:coauthVersionMax="47" xr10:uidLastSave="{9EA2C743-5775-41A6-84AB-2A15A118524A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<sst xmlns="http://schemas.openxmlformats.org/spreadsheetml/2006/main" count="645" uniqueCount="347">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</sst>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D26" sqref="D26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25776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213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BBL</v>
      </c>
    </row>
    <row r="7" spans="2:14" ht="15" customHeight="1" x14ac:dyDescent="0.3">
      <c r="B7" s="100" t="s">
        <v>7</v>
      </c>
      <c r="C7" s="100"/>
      <c r="D7" s="154" t="s">
        <v>9</v>
      </c>
      <c r="E7" s="156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3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130</v>
      </c>
      <c r="E9" s="156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45536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45838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25776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850</v>
      </c>
      <c r="H18" s="147"/>
      <c r="I18" s="146">
        <f>(I19+I20+I21)</f>
        <v>857.2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850</v>
      </c>
      <c r="O18" s="110" t="e">
        <f>VLOOKUP(($D$4),Parameters!$A$4:$R$71,$N$7,FALSE)</f>
        <v>#N/A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200</v>
      </c>
      <c r="H19" s="147"/>
      <c r="I19" s="146">
        <f>IF(G19="-","-",G19*(100%+Parameters!$B$84))</f>
        <v>206</v>
      </c>
      <c r="J19" s="147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200</v>
      </c>
      <c r="O19" s="110" t="e">
        <f>VLOOKUP($D$4,Parameters!$A$4:$R$71,$N$7+3,FALSE)</f>
        <v>#N/A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610</v>
      </c>
      <c r="H20" s="147"/>
      <c r="I20" s="146">
        <f>IF(G20="-","-",G20*(100%))</f>
        <v>610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610</v>
      </c>
      <c r="O20" s="110" t="e">
        <f>VLOOKUP($D$4,Parameters!$A$4:$R$71,$N$7+6,FALSE)</f>
        <v>#N/A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</v>
      </c>
      <c r="H21" s="147"/>
      <c r="I21" s="146">
        <f>IF(G21="-","-",G21*(100%+Parameters!$B$84))</f>
        <v>41.2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40</v>
      </c>
      <c r="O21" s="110" t="e">
        <f>VLOOKUP($D$4,Parameters!$A$4:$R$71,$N$7+9,FALSE)</f>
        <v>#N/A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0</v>
      </c>
      <c r="H22" s="147"/>
      <c r="I22" s="146">
        <f>IF(G22="-","-",G22*(100%+Parameters!$B$84))</f>
        <v>0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0</v>
      </c>
      <c r="O22" s="110" t="e">
        <f>VLOOKUP($D$4,Parameters!$A$4:$R$71,$N$7+12,FALSE)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8</v>
      </c>
      <c r="E26" s="141">
        <f>(D26*Parameters!$B$85)/60</f>
        <v>6.666666666666667</v>
      </c>
      <c r="F26" s="142"/>
      <c r="G26" s="124">
        <f>IF($N$6="BOL",Parameters!C78,Parameters!B78)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8</v>
      </c>
      <c r="E27" s="141">
        <f>(D27*Parameters!$B$85)/60</f>
        <v>6.666666666666667</v>
      </c>
      <c r="F27" s="142"/>
      <c r="G27" s="124">
        <f>IF($N$6="BOL",Parameters!C79,Parameters!B79)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N22*(100%+Parameters!$B$84)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8</v>
      </c>
      <c r="E28" s="141">
        <f>(D28*Parameters!$B$85)/60</f>
        <v>6.666666666666667</v>
      </c>
      <c r="F28" s="142"/>
      <c r="G28" s="124">
        <f>IF($N$6="BOL",Parameters!C80,Parameters!B80)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8</v>
      </c>
      <c r="E29" s="141">
        <f>(D29*Parameters!$B$85)/60</f>
        <v>6.666666666666667</v>
      </c>
      <c r="F29" s="142"/>
      <c r="G29" s="124">
        <f>IF($N$6="BOL",Parameters!C81,Parameters!B81)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IF($N$6="BOL",N26*1000/10,IF($N$6="BBL",N26*850/10,0))*(100%+Parameters!$B$84)</f>
        <v>875.5</v>
      </c>
      <c r="O29" s="110">
        <f>N29/(100%+Parameters!$B$84)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/>
      </c>
      <c r="C32" s="113" t="s">
        <v>46</v>
      </c>
      <c r="D32" s="126">
        <v>7</v>
      </c>
      <c r="E32" s="141">
        <f>(D32*Parameters!$B$85)/60</f>
        <v>5.833333333333333</v>
      </c>
      <c r="F32" s="142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>
        <v>8</v>
      </c>
      <c r="E33" s="141">
        <f>(D33*Parameters!$B$85)/60</f>
        <v>6.666666666666667</v>
      </c>
      <c r="F33" s="142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8</v>
      </c>
      <c r="E34" s="141">
        <f>(D34*Parameters!$B$85)/60</f>
        <v>6.666666666666667</v>
      </c>
      <c r="F34" s="142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>
        <v>8</v>
      </c>
      <c r="E35" s="141">
        <f>(D35*Parameters!$B$85)/60</f>
        <v>6.666666666666667</v>
      </c>
      <c r="F35" s="142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/>
      </c>
      <c r="C38" s="113" t="s">
        <v>46</v>
      </c>
      <c r="D38" s="126">
        <v>0</v>
      </c>
      <c r="E38" s="141">
        <f>(D38*Parameters!$B$85)/60</f>
        <v>0</v>
      </c>
      <c r="F38" s="142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40"/>
      <c r="C39" s="113" t="s">
        <v>48</v>
      </c>
      <c r="D39" s="126">
        <v>0</v>
      </c>
      <c r="E39" s="141">
        <f>(D39*Parameters!$B$85)/60</f>
        <v>0</v>
      </c>
      <c r="F39" s="142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>
        <v>0</v>
      </c>
      <c r="E40" s="141">
        <f>(D40*Parameters!$B$85)/60</f>
        <v>0</v>
      </c>
      <c r="F40" s="142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>
        <v>0</v>
      </c>
      <c r="E41" s="141">
        <f>(D41*Parameters!$B$85)/60</f>
        <v>0</v>
      </c>
      <c r="F41" s="142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Logistiek supervisor (doorstroom + sprint)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25776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45536</v>
      </c>
      <c r="E5" s="12" t="s">
        <v>62</v>
      </c>
      <c r="F5" s="46">
        <f>Programmering!$D$11</f>
        <v>45838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4" t="str">
        <f>IF(Programmering!G36="","","Totaal ")</f>
        <v/>
      </c>
      <c r="C18" s="165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4" t="str">
        <f>IF(Programmering!G42="","","Totaal ")</f>
        <v/>
      </c>
      <c r="C24" s="165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25776s</v>
      </c>
      <c r="C3" t="str">
        <f>RIGHT(Programmering!D6,LEN(Programmering!D6)-8)</f>
        <v>Logistiek supervisor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2024/2025</v>
      </c>
      <c r="H3" s="18">
        <f>Programmering!D10</f>
        <v>45536</v>
      </c>
      <c r="I3" s="18">
        <f>Programmering!D11</f>
        <v>45838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2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2024-06-27T10:10:41Z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