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"/>
    </mc:Choice>
  </mc:AlternateContent>
  <xr:revisionPtr revIDLastSave="4" documentId="8_{FF0B87C4-0381-4841-9A34-F9F8618004B7}" xr6:coauthVersionLast="47" xr6:coauthVersionMax="47" xr10:uidLastSave="{9EA2C743-5775-41A6-84AB-2A15A118524A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<sst xmlns="http://schemas.openxmlformats.org/spreadsheetml/2006/main" count="645" uniqueCount="347">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</sst>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D26" sqref="D26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51" t="s">
        <v>0</v>
      </c>
      <c r="C2" s="152"/>
      <c r="D2" s="152"/>
      <c r="E2" s="152"/>
      <c r="F2" s="152"/>
      <c r="G2" s="152"/>
      <c r="H2" s="152"/>
      <c r="I2" s="152"/>
      <c r="J2" s="152"/>
      <c r="K2" s="153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25776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54" t="s">
        <v>166</v>
      </c>
      <c r="E5" s="156"/>
      <c r="F5" s="100"/>
      <c r="G5" s="77" t="s">
        <v>5</v>
      </c>
      <c r="H5" s="163" t="s">
        <v>177</v>
      </c>
      <c r="I5" s="163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54" t="s">
        <v>213</v>
      </c>
      <c r="E6" s="155"/>
      <c r="F6" s="155"/>
      <c r="G6" s="155"/>
      <c r="H6" s="155"/>
      <c r="I6" s="155"/>
      <c r="J6" s="155"/>
      <c r="K6" s="156"/>
      <c r="M6" s="94" t="s">
        <v>7</v>
      </c>
      <c r="N6" s="94" t="str">
        <f>VLOOKUP($D$7,Parameters!$A$74:$E$75,2,FALSE)</f>
        <v>BBL</v>
      </c>
    </row>
    <row r="7" spans="2:14" ht="15" customHeight="1" x14ac:dyDescent="0.3">
      <c r="B7" s="100" t="s">
        <v>7</v>
      </c>
      <c r="C7" s="100"/>
      <c r="D7" s="154" t="s">
        <v>9</v>
      </c>
      <c r="E7" s="156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VLOOKUP($D$7,Parameters!$A$74:$E$75,3,FALSE)</f>
        <v>3</v>
      </c>
    </row>
    <row r="8" spans="2:14" ht="15" customHeight="1" x14ac:dyDescent="0.3">
      <c r="B8" s="100" t="s">
        <v>60</v>
      </c>
      <c r="C8" s="100"/>
      <c r="D8" s="154" t="s">
        <v>276</v>
      </c>
      <c r="E8" s="156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54" t="s">
        <v>130</v>
      </c>
      <c r="E9" s="156"/>
      <c r="F9" s="100"/>
      <c r="G9" s="78" t="str">
        <f>IF(N12="sprint","(Sprint-traject)","")</f>
        <v>(Sprint-traject)</v>
      </c>
      <c r="H9" s="100"/>
      <c r="I9" s="100"/>
      <c r="J9" s="100"/>
      <c r="K9" s="100"/>
      <c r="M9" s="101" t="s">
        <v>16</v>
      </c>
      <c r="N9" s="101">
        <f>VLOOKUP($D$6,Opleidingen!A2:B175,2,FALSE)</f>
        <v>4</v>
      </c>
    </row>
    <row r="10" spans="2:14" ht="15" customHeight="1" x14ac:dyDescent="0.3">
      <c r="B10" s="100" t="s">
        <v>336</v>
      </c>
      <c r="C10" s="100"/>
      <c r="D10" s="98">
        <v>45536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10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45838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1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sprint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25776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57"/>
      <c r="C17" s="157"/>
      <c r="D17" s="157"/>
      <c r="E17" s="157"/>
      <c r="F17" s="158"/>
      <c r="G17" s="159" t="s">
        <v>25</v>
      </c>
      <c r="H17" s="160"/>
      <c r="I17" s="161" t="s">
        <v>26</v>
      </c>
      <c r="J17" s="162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44" t="s">
        <v>30</v>
      </c>
      <c r="C18" s="145"/>
      <c r="D18" s="145"/>
      <c r="E18" s="145"/>
      <c r="F18" s="145"/>
      <c r="G18" s="146">
        <f>N18</f>
        <v>850</v>
      </c>
      <c r="H18" s="147"/>
      <c r="I18" s="146">
        <f>(I19+I20+I21)</f>
        <v>857.2</v>
      </c>
      <c r="J18" s="147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850</v>
      </c>
      <c r="O18" s="110" t="e">
        <f>VLOOKUP(($D$4),Parameters!$A$4:$R$71,$N$7,FALSE)</f>
        <v>#N/A</v>
      </c>
      <c r="Q18" s="111"/>
      <c r="R18" s="111"/>
    </row>
    <row r="19" spans="1:18" x14ac:dyDescent="0.3">
      <c r="A19" s="100"/>
      <c r="B19" s="144" t="s">
        <v>31</v>
      </c>
      <c r="C19" s="145"/>
      <c r="D19" s="145"/>
      <c r="E19" s="145"/>
      <c r="F19" s="145"/>
      <c r="G19" s="146">
        <f>N19</f>
        <v>200</v>
      </c>
      <c r="H19" s="147"/>
      <c r="I19" s="146">
        <f>IF(G19="-","-",G19*(100%+Parameters!$B$84))</f>
        <v>206</v>
      </c>
      <c r="J19" s="147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IF(ISERROR(O19),(VLOOKUP($D$9,Parameters!$A$4:$R$71,$N$7+3,FALSE)),O19)</f>
        <v>200</v>
      </c>
      <c r="O19" s="110" t="e">
        <f>VLOOKUP($D$4,Parameters!$A$4:$R$71,$N$7+3,FALSE)</f>
        <v>#N/A</v>
      </c>
      <c r="Q19" s="111"/>
      <c r="R19" s="112"/>
    </row>
    <row r="20" spans="1:18" x14ac:dyDescent="0.3">
      <c r="A20" s="100"/>
      <c r="B20" s="144" t="s">
        <v>32</v>
      </c>
      <c r="C20" s="145"/>
      <c r="D20" s="145"/>
      <c r="E20" s="145"/>
      <c r="F20" s="145"/>
      <c r="G20" s="146">
        <f>N20</f>
        <v>610</v>
      </c>
      <c r="H20" s="147"/>
      <c r="I20" s="146">
        <f>IF(G20="-","-",G20*(100%))</f>
        <v>610</v>
      </c>
      <c r="J20" s="147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610</v>
      </c>
      <c r="O20" s="110" t="e">
        <f>VLOOKUP($D$4,Parameters!$A$4:$R$71,$N$7+6,FALSE)</f>
        <v>#N/A</v>
      </c>
      <c r="Q20" s="111"/>
      <c r="R20" s="111"/>
    </row>
    <row r="21" spans="1:18" x14ac:dyDescent="0.3">
      <c r="A21" s="100"/>
      <c r="B21" s="144" t="s">
        <v>33</v>
      </c>
      <c r="C21" s="145"/>
      <c r="D21" s="145"/>
      <c r="E21" s="145"/>
      <c r="F21" s="145"/>
      <c r="G21" s="146">
        <f>N21</f>
        <v>40</v>
      </c>
      <c r="H21" s="147"/>
      <c r="I21" s="146">
        <f>IF(G21="-","-",G21*(100%+Parameters!$B$84))</f>
        <v>41.2</v>
      </c>
      <c r="J21" s="147"/>
      <c r="K21" s="105" t="s">
        <v>34</v>
      </c>
      <c r="M21" s="94" t="s">
        <v>34</v>
      </c>
      <c r="N21" s="109">
        <f>IF(ISERROR(O21),(VLOOKUP($D$9,Parameters!$A$4:$R$71,$N$7+9,FALSE)),O21)</f>
        <v>40</v>
      </c>
      <c r="O21" s="110" t="e">
        <f>VLOOKUP($D$4,Parameters!$A$4:$R$71,$N$7+9,FALSE)</f>
        <v>#N/A</v>
      </c>
      <c r="Q21" s="111"/>
      <c r="R21" s="111"/>
    </row>
    <row r="22" spans="1:18" x14ac:dyDescent="0.3">
      <c r="A22" s="100"/>
      <c r="B22" s="144" t="s">
        <v>35</v>
      </c>
      <c r="C22" s="145"/>
      <c r="D22" s="145"/>
      <c r="E22" s="145"/>
      <c r="F22" s="145"/>
      <c r="G22" s="146">
        <f>N22</f>
        <v>0</v>
      </c>
      <c r="H22" s="147"/>
      <c r="I22" s="146">
        <f>IF(G22="-","-",G22*(100%+Parameters!$B$84))</f>
        <v>0</v>
      </c>
      <c r="J22" s="147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0</v>
      </c>
      <c r="O22" s="110" t="e">
        <f>VLOOKUP($D$4,Parameters!$A$4:$R$71,$N$7+12,FALSE)</f>
        <v>#N/A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48" t="s">
        <v>36</v>
      </c>
      <c r="E24" s="149"/>
      <c r="F24" s="149"/>
      <c r="G24" s="149"/>
      <c r="H24" s="149"/>
      <c r="I24" s="15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43" t="s">
        <v>40</v>
      </c>
      <c r="F25" s="143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40" t="str">
        <f>"Leerjaar "&amp;$N$8</f>
        <v>Leerjaar 1</v>
      </c>
      <c r="C26" s="113" t="s">
        <v>46</v>
      </c>
      <c r="D26" s="123">
        <v>8</v>
      </c>
      <c r="E26" s="141">
        <f>(D26*Parameters!$B$85)/60</f>
        <v>6.666666666666667</v>
      </c>
      <c r="F26" s="142"/>
      <c r="G26" s="124">
        <f>IF($N$6="BOL",Parameters!C78,Parameters!B78)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40"/>
      <c r="C27" s="113" t="s">
        <v>48</v>
      </c>
      <c r="D27" s="126">
        <v>8</v>
      </c>
      <c r="E27" s="141">
        <f>(D27*Parameters!$B$85)/60</f>
        <v>6.666666666666667</v>
      </c>
      <c r="F27" s="142"/>
      <c r="G27" s="124">
        <f>IF($N$6="BOL",Parameters!C79,Parameters!B79)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49</v>
      </c>
      <c r="N27" s="109">
        <f>N22*(100%+Parameters!$B$84)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40"/>
      <c r="C28" s="113" t="s">
        <v>50</v>
      </c>
      <c r="D28" s="126">
        <v>8</v>
      </c>
      <c r="E28" s="141">
        <f>(D28*Parameters!$B$85)/60</f>
        <v>6.666666666666667</v>
      </c>
      <c r="F28" s="142"/>
      <c r="G28" s="124">
        <f>IF($N$6="BOL",Parameters!C80,Parameters!B80)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40"/>
      <c r="C29" s="113" t="s">
        <v>52</v>
      </c>
      <c r="D29" s="126">
        <v>8</v>
      </c>
      <c r="E29" s="141">
        <f>(D29*Parameters!$B$85)/60</f>
        <v>6.666666666666667</v>
      </c>
      <c r="F29" s="142"/>
      <c r="G29" s="124">
        <f>IF($N$6="BOL",Parameters!C81,Parameters!B81)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53</v>
      </c>
      <c r="N29" s="109">
        <f>IF($N$6="BOL",N26*1000/10,IF($N$6="BBL",N26*850/10,0))*(100%+Parameters!$B$84)</f>
        <v>875.5</v>
      </c>
      <c r="O29" s="110">
        <f>N29/(100%+Parameters!$B$84)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40" t="str">
        <f>IF($N$11&gt;=2,"Leerjaar "&amp;$N$8+1,"")</f>
        <v/>
      </c>
      <c r="C32" s="113" t="s">
        <v>46</v>
      </c>
      <c r="D32" s="126">
        <v>7</v>
      </c>
      <c r="E32" s="141">
        <f>(D32*Parameters!$B$85)/60</f>
        <v>5.833333333333333</v>
      </c>
      <c r="F32" s="142"/>
      <c r="G32" s="124" t="str">
        <f>IF($N$11&gt;=2,IF($N$6="BOL",Parameters!C78,Parameters!B78),"-")</f>
        <v>-</v>
      </c>
      <c r="H32" s="125">
        <f>IF(G32&lt;&gt;"-",E32*G32,0)</f>
        <v>0</v>
      </c>
      <c r="I32" s="126">
        <v>0</v>
      </c>
      <c r="J32" s="126"/>
      <c r="K32" s="125">
        <f t="shared" ref="K32:K35" si="0">J32+I32+H32</f>
        <v>0</v>
      </c>
      <c r="M32" s="101" t="s">
        <v>47</v>
      </c>
      <c r="N32" s="109">
        <f>IF(N10-N26&gt;=10,10,N10-N26)</f>
        <v>0</v>
      </c>
      <c r="O32" s="110"/>
      <c r="P32" s="110"/>
      <c r="Q32" s="111"/>
      <c r="R32" s="111"/>
    </row>
    <row r="33" spans="1:18" x14ac:dyDescent="0.3">
      <c r="A33" s="100"/>
      <c r="B33" s="140"/>
      <c r="C33" s="113" t="s">
        <v>48</v>
      </c>
      <c r="D33" s="126">
        <v>8</v>
      </c>
      <c r="E33" s="141">
        <f>(D33*Parameters!$B$85)/60</f>
        <v>6.666666666666667</v>
      </c>
      <c r="F33" s="142"/>
      <c r="G33" s="124" t="str">
        <f>IF($N$11&gt;=2,IF($N$6="BOL",Parameters!C79,Parameters!B79),"-")</f>
        <v>-</v>
      </c>
      <c r="H33" s="125">
        <f t="shared" ref="H33:H35" si="1">IF(G33&lt;&gt;"-",E33*G33,0)</f>
        <v>0</v>
      </c>
      <c r="I33" s="126">
        <v>0</v>
      </c>
      <c r="J33" s="126"/>
      <c r="K33" s="125">
        <f t="shared" si="0"/>
        <v>0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40"/>
      <c r="C34" s="113" t="s">
        <v>50</v>
      </c>
      <c r="D34" s="126">
        <v>8</v>
      </c>
      <c r="E34" s="141">
        <f>(D34*Parameters!$B$85)/60</f>
        <v>6.666666666666667</v>
      </c>
      <c r="F34" s="142"/>
      <c r="G34" s="124" t="str">
        <f>IF($N$11&gt;=2,IF($N$6="BOL",Parameters!C80,Parameters!B80),"-")</f>
        <v>-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40"/>
      <c r="C35" s="113" t="s">
        <v>52</v>
      </c>
      <c r="D35" s="126">
        <v>8</v>
      </c>
      <c r="E35" s="141">
        <f>(D35*Parameters!$B$85)/60</f>
        <v>6.666666666666667</v>
      </c>
      <c r="F35" s="142"/>
      <c r="G35" s="124" t="str">
        <f>IF($N$11&gt;=2,IF($N$6="BOL",Parameters!C81,Parameters!B81),"-")</f>
        <v>-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53</v>
      </c>
      <c r="N35" s="109">
        <f>IF($N$6="BOL",N32*1000/10,IF($N$6="BBL",N32*850/10,0))*(100%+Parameters!$B$84)</f>
        <v>0</v>
      </c>
      <c r="O35" s="110">
        <f>N35/(100%+Parameters!$B$84)</f>
        <v>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0</v>
      </c>
      <c r="K36" s="131">
        <f>SUM(K32:K35)</f>
        <v>0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40" t="str">
        <f>IF($N$11&gt;=3,"Leerjaar "&amp;$N$8+2,"")</f>
        <v/>
      </c>
      <c r="C38" s="113" t="s">
        <v>46</v>
      </c>
      <c r="D38" s="126">
        <v>0</v>
      </c>
      <c r="E38" s="141">
        <f>(D38*Parameters!$B$85)/60</f>
        <v>0</v>
      </c>
      <c r="F38" s="142"/>
      <c r="G38" s="124" t="str">
        <f>IF($N$11&gt;=3,IF($N$6="BOL",Parameters!C78,Parameters!B78),"-")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40"/>
      <c r="C39" s="113" t="s">
        <v>48</v>
      </c>
      <c r="D39" s="126">
        <v>0</v>
      </c>
      <c r="E39" s="141">
        <f>(D39*Parameters!$B$85)/60</f>
        <v>0</v>
      </c>
      <c r="F39" s="142"/>
      <c r="G39" s="124" t="str">
        <f>IF($N$11&gt;=3,IF($N$6="BOL",Parameters!C79,Parameters!B79),"-")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40"/>
      <c r="C40" s="113" t="s">
        <v>50</v>
      </c>
      <c r="D40" s="126">
        <v>0</v>
      </c>
      <c r="E40" s="141">
        <f>(D40*Parameters!$B$85)/60</f>
        <v>0</v>
      </c>
      <c r="F40" s="142"/>
      <c r="G40" s="124" t="str">
        <f>IF($N$11&gt;=3,IF($N$6="BOL",Parameters!C80,Parameters!B80),"-")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40"/>
      <c r="C41" s="113" t="s">
        <v>52</v>
      </c>
      <c r="D41" s="126">
        <v>0</v>
      </c>
      <c r="E41" s="141">
        <f>(D41*Parameters!$B$85)/60</f>
        <v>0</v>
      </c>
      <c r="F41" s="142"/>
      <c r="G41" s="124" t="str">
        <f>IF($N$11&gt;=3,IF($N$6="BOL",Parameters!C81,Parameters!B81),"-")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IF($N$6="BOL",N38*1000/10,IF($N$6="BBL",N38*850/10,0))*(100%+Parameters!$B$84)</f>
        <v>0</v>
      </c>
      <c r="O41" s="110">
        <f>N41/(100%+Parameters!$B$84)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40" t="str">
        <f>IF($N$11&gt;=4,"Leerjaar "&amp;$N$8+3,"")</f>
        <v/>
      </c>
      <c r="C44" s="113" t="s">
        <v>46</v>
      </c>
      <c r="D44" s="126">
        <v>0</v>
      </c>
      <c r="E44" s="141">
        <f>(D44*Parameters!$B$85)/60</f>
        <v>0</v>
      </c>
      <c r="F44" s="142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40"/>
      <c r="C45" s="113" t="s">
        <v>48</v>
      </c>
      <c r="D45" s="126">
        <v>0</v>
      </c>
      <c r="E45" s="141">
        <f>(D45*Parameters!$B$85)/60</f>
        <v>0</v>
      </c>
      <c r="F45" s="142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40"/>
      <c r="C46" s="113" t="s">
        <v>50</v>
      </c>
      <c r="D46" s="126">
        <v>0</v>
      </c>
      <c r="E46" s="141">
        <f>(D46*Parameters!$B$85)/60</f>
        <v>0</v>
      </c>
      <c r="F46" s="142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40"/>
      <c r="C47" s="113" t="s">
        <v>52</v>
      </c>
      <c r="D47" s="126">
        <v>0</v>
      </c>
      <c r="E47" s="141">
        <f>(D47*Parameters!$B$85)/60</f>
        <v>0</v>
      </c>
      <c r="F47" s="142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233.33333333333334</v>
      </c>
      <c r="J51" s="105">
        <f>J48+J42+J36+J30</f>
        <v>800</v>
      </c>
      <c r="K51" s="134">
        <f>K48+K42+K36+K30</f>
        <v>1033.3333333333333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71" t="str">
        <f>RIGHT(Programmering!$D$6,LEN(Programmering!$D$6)-8)</f>
        <v>Logistiek supervisor (doorstroom + sprint)</v>
      </c>
      <c r="D2" s="171"/>
      <c r="E2" s="171"/>
      <c r="F2" s="172"/>
    </row>
    <row r="3" spans="2:6" ht="17.100000000000001" customHeight="1" x14ac:dyDescent="0.3">
      <c r="B3" s="47" t="s">
        <v>59</v>
      </c>
      <c r="C3" t="str">
        <f>LEFT(Programmering!$D$6,5)</f>
        <v>25776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45536</v>
      </c>
      <c r="E5" s="12" t="s">
        <v>62</v>
      </c>
      <c r="F5" s="46">
        <f>Programmering!$D$11</f>
        <v>45838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8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9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9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3">
      <c r="B11" s="170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4" t="s">
        <v>65</v>
      </c>
      <c r="C12" s="165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8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0</v>
      </c>
      <c r="F14" s="29">
        <f>Programmering!K32</f>
        <v>0</v>
      </c>
    </row>
    <row r="15" spans="2:6" ht="17.100000000000001" customHeight="1" x14ac:dyDescent="0.3">
      <c r="B15" s="169"/>
      <c r="C15" s="28">
        <v>2</v>
      </c>
      <c r="D15" s="29">
        <f>Programmering!H33+Programmering!I33</f>
        <v>0</v>
      </c>
      <c r="E15" s="29">
        <f>Programmering!J33</f>
        <v>0</v>
      </c>
      <c r="F15" s="29">
        <f>Programmering!K33</f>
        <v>0</v>
      </c>
    </row>
    <row r="16" spans="2:6" ht="17.100000000000001" customHeight="1" x14ac:dyDescent="0.3">
      <c r="B16" s="169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 x14ac:dyDescent="0.3">
      <c r="B17" s="170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3">
      <c r="B18" s="164" t="str">
        <f>IF(Programmering!G36="","","Totaal ")</f>
        <v/>
      </c>
      <c r="C18" s="165"/>
      <c r="D18" s="32">
        <f>Programmering!H36+Programmering!I36</f>
        <v>0</v>
      </c>
      <c r="E18" s="32">
        <f>Programmering!J36</f>
        <v>0</v>
      </c>
      <c r="F18" s="32">
        <f>Programmering!K36</f>
        <v>0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9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9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9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70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4" t="str">
        <f>IF(Programmering!G42="","","Totaal ")</f>
        <v/>
      </c>
      <c r="C24" s="165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8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9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9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70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4" t="str">
        <f>IF(Programmering!G48="","","Totaal ")</f>
        <v/>
      </c>
      <c r="C30" s="165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66" t="s">
        <v>66</v>
      </c>
      <c r="C32" s="167"/>
      <c r="D32" s="51">
        <f>Programmering!I51</f>
        <v>233.33333333333334</v>
      </c>
      <c r="E32" s="52">
        <f>Programmering!J51</f>
        <v>800</v>
      </c>
      <c r="F32" s="52">
        <f>Programmering!K51</f>
        <v>1033.3333333333333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25776s</v>
      </c>
      <c r="C3" t="str">
        <f>RIGHT(Programmering!D6,LEN(Programmering!D6)-8)</f>
        <v>Logistiek supervisor (doorstroom + sprint)</v>
      </c>
      <c r="D3">
        <f>Programmering!N9</f>
        <v>4</v>
      </c>
      <c r="E3" t="str">
        <f>Programmering!$D$7</f>
        <v>BBL</v>
      </c>
      <c r="F3">
        <f>Programmering!N8</f>
        <v>1</v>
      </c>
      <c r="G3" t="str">
        <f>Programmering!D8</f>
        <v>2024/2025</v>
      </c>
      <c r="H3" s="18">
        <f>Programmering!D10</f>
        <v>45536</v>
      </c>
      <c r="I3" s="18">
        <f>Programmering!D11</f>
        <v>45838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10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0</v>
      </c>
      <c r="Z3" s="22">
        <f>Programmering!J32</f>
        <v>0</v>
      </c>
      <c r="AA3" s="22">
        <f>Programmering!H33+Programmering!I33</f>
        <v>0</v>
      </c>
      <c r="AB3" s="22">
        <f>Programmering!J33</f>
        <v>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0</v>
      </c>
      <c r="AH3" s="22">
        <f>Programmering!J36</f>
        <v>0</v>
      </c>
      <c r="AI3" s="22">
        <f>Programmering!K36</f>
        <v>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customXml/itemProps2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2024-06-27T10:10:41Z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